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<sst xmlns="http://schemas.openxmlformats.org/spreadsheetml/2006/main" count="860" uniqueCount="261">
  <si>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</si>
  <si>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</si>
  <si>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</si>
  <si>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</si>
  <si>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</si>
  <si>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</si>
  <si>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</si>
  <si>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</si>
  <si>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</si>
  <si>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</si>
  <si>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</si>
  <si>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</si>
  <si>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</si>
  <si>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</si>
  <si>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</si>
  <si>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</si>
  <si>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</si>
  <si>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</si>
  <si>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</si>
  <si>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</si>
  <si>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</si>
  <si>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</si>
  <si>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</si>
  <si>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</si>
  <si>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</si>
  <si>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</si>
  <si>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</si>
  <si>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</si>
  <si>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</si>
  <si>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</si>
  <si>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</si>
  <si>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</si>
  <si>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</si>
  <si>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</si>
  <si>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</si>
  <si>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</si>
  <si>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</si>
  <si>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</si>
  <si>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</si>
  <si>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</si>
  <si>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</si>
  <si>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</si>
  <si>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</si>
  <si>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</si>
  <si>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</si>
  <si>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</si>
  <si>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</si>
  <si>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</si>
  <si>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</si>
  <si>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</si>
  <si>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</si>
  <si>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</si>
  <si>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</si>
  <si>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</si>
  <si>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</si>
  <si>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</si>
  <si>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</si>
  <si>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</si>
  <si>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</si>
  <si>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</si>
  <si>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</si>
  <si>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</si>
  <si>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</si>
  <si>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</si>
  <si>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</si>
  <si>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</si>
  <si>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</si>
  <si>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</si>
  <si>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</si>
  <si>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</si>
  <si>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</si>
  <si>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</si>
  <si>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</si>
  <si>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</si>
  <si>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</si>
  <si>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</si>
  <si>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</si>
  <si>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</si>
  <si>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</si>
  <si>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</si>
  <si>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</si>
  <si>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</si>
  <si>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</si>
  <si>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</si>
  <si>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</si>
  <si>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</si>
  <si>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</si>
  <si>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</si>
  <si>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</si>
  <si>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</si>
  <si>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</si>
  <si>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</si>
  <si>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</si>
  <si>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</si>
  <si>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</si>
  <si>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</si>
  <si>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</si>
  <si>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</si>
  <si>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</si>
  <si>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</si>
  <si>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</si>
  <si>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</si>
  <si>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</si>
  <si>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</si>
  <si>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</si>
  <si>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</si>
  <si>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</si>
  <si>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</si>
  <si>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</si>
  <si>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</si>
  <si>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</si>
  <si>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</si>
  <si>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</si>
  <si>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</si>
  <si>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</si>
  <si>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</si>
  <si>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</si>
  <si>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</si>
  <si>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</si>
  <si>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</si>
  <si>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</si>
  <si>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</si>
  <si>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</si>
  <si>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</si>
  <si>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</si>
  <si>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</si>
  <si>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</si>
  <si>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</si>
  <si>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</si>
  <si>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</si>
  <si>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</si>
  <si>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</si>
  <si>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</si>
  <si>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</si>
  <si>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</si>
  <si>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</si>
  <si>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</si>
  <si>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</si>
  <si>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</si>
  <si>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</si>
  <si>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</si>
  <si>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</si>
  <si>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</si>
  <si>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</si>
  <si>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</si>
  <si>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</si>
  <si>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</si>
  <si>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</si>
  <si>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</si>
  <si>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</si>
  <si>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</si>
  <si>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</si>
  <si>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</si>
  <si>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</si>
  <si>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</si>
  <si>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</si>
  <si>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</si>
  <si>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</si>
  <si>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</si>
  <si>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</si>
  <si>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</si>
  <si>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</si>
  <si>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</si>
  <si>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</si>
  <si>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</si>
  <si>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</si>
  <si>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</si>
  <si>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</si>
  <si>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</si>
  <si>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</si>
  <si>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</si>
  <si>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</si>
  <si>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</si>
  <si>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</si>
  <si>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</si>
  <si>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</si>
  <si>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</si>
  <si>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</si>
  <si>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</si>
  <si>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</si>
  <si>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</si>
  <si>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</si>
  <si>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</si>
  <si>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</si>
  <si>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</si>
  <si>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</si>
  <si>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</si>
  <si>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</si>
  <si>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</si>
  <si>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</si>
  <si>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</si>
  <si>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</si>
  <si>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</si>
  <si>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</si>
  <si>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</si>
  <si>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</si>
  <si>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</si>
  <si>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</si>
  <si>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</si>
  <si>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</si>
  <si>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</si>
  <si>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</si>
  <si>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</si>
  <si>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</si>
  <si>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</si>
  <si>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</si>
  <si>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</si>
  <si>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</si>
  <si>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</si>
  <si>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</si>
  <si>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</si>
  <si>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</si>
  <si>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</si>
  <si>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</si>
  <si>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</si>
  <si>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</si>
  <si>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</si>
  <si>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</si>
  <si>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</si>
  <si>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</si>
  <si>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</si>
  <si>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</si>
  <si>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</si>
  <si>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</si>
  <si>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</si>
  <si>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</si>
  <si>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</si>
  <si>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</si>
  <si>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</si>
  <si>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</si>
  <si>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</si>
  <si>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</si>
  <si>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</si>
  <si>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</si>
  <si>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</si>
  <si>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</si>
  <si>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</si>
  <si>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</si>
  <si>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</si>
  <si>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</si>
  <si>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</si>
  <si>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</si>
  <si>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</si>
  <si>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</si>
  <si>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</si>
  <si>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</si>
  <si>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</si>
  <si>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</si>
  <si>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</si>
  <si>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</si>
  <si>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</si>
  <si>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</si>
  <si>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</si>
  <si>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</si>
  <si>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</si>
  <si>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</si>
  <si>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</si>
  <si>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</si>
  <si>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</si>
  <si>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</si>
  <si>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23.04.15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</si>
</sst>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4" sqref="H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/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240</v>
      </c>
      <c r="N3" s="224" t="s">
        <v>241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237</v>
      </c>
      <c r="F4" s="211" t="s">
        <v>116</v>
      </c>
      <c r="G4" s="213" t="s">
        <v>238</v>
      </c>
      <c r="H4" s="215" t="s">
        <v>239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260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242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">
        <f>F10+F19+F31+F34+F35+F47+F30</f>
        <v>173241.04</v>
      </c>
      <c r="G8" s="18">
        <f aca="true" t="shared" si="0" ref="G8:G47">F8-E8</f>
        <v>-4153.889999999985</v>
      </c>
      <c r="H8" s="45">
        <f>F8/E8*100</f>
        <v>97.65839418296792</v>
      </c>
      <c r="I8" s="31">
        <f aca="true" t="shared" si="1" ref="I8:I47">F8-D8</f>
        <v>-344187.95999999996</v>
      </c>
      <c r="J8" s="31">
        <f aca="true" t="shared" si="2" ref="J8:J15">F8/D8*100</f>
        <v>33.48112301397873</v>
      </c>
      <c r="K8" s="18">
        <f>K10+K19+K31+K34+K35+K47</f>
        <v>21595.97000000001</v>
      </c>
      <c r="L8" s="18"/>
      <c r="M8" s="18">
        <f>M10+M19+M31+M34+M35+M47+M30</f>
        <v>41736.35</v>
      </c>
      <c r="N8" s="18">
        <f>N10+N19+N31+N34+N35+N47+N30</f>
        <v>33758.26000000002</v>
      </c>
      <c r="O8" s="31">
        <f aca="true" t="shared" si="3" ref="O8:O50">N8-M8</f>
        <v>-7978.089999999982</v>
      </c>
      <c r="P8" s="31">
        <f>F8/M8*100</f>
        <v>415.0843090016257</v>
      </c>
      <c r="Q8" s="31">
        <f>N8-33748.16</f>
        <v>10.100000000013097</v>
      </c>
      <c r="R8" s="125">
        <f>N8/33748.16</f>
        <v>1.0002992755753206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101642.16</v>
      </c>
      <c r="G9" s="18">
        <f t="shared" si="0"/>
        <v>101642.16</v>
      </c>
      <c r="H9" s="16"/>
      <c r="I9" s="50">
        <f t="shared" si="1"/>
        <v>-211047.84</v>
      </c>
      <c r="J9" s="50">
        <f t="shared" si="2"/>
        <v>32.505727717547735</v>
      </c>
      <c r="K9" s="50"/>
      <c r="L9" s="50"/>
      <c r="M9" s="16">
        <f>M10+M17</f>
        <v>25134</v>
      </c>
      <c r="N9" s="16">
        <f>N10+N17</f>
        <v>23204.660000000003</v>
      </c>
      <c r="O9" s="31">
        <f t="shared" si="3"/>
        <v>-1929.3399999999965</v>
      </c>
      <c r="P9" s="50">
        <f>F9/M9*100</f>
        <v>404.4010503700167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101642.16</v>
      </c>
      <c r="G10" s="43">
        <f t="shared" si="0"/>
        <v>-5.819999999992433</v>
      </c>
      <c r="H10" s="35">
        <f aca="true" t="shared" si="4" ref="H10:H47">F10/E10*100</f>
        <v>99.9942743574442</v>
      </c>
      <c r="I10" s="50">
        <f t="shared" si="1"/>
        <v>-211047.84</v>
      </c>
      <c r="J10" s="50">
        <f t="shared" si="2"/>
        <v>32.505727717547735</v>
      </c>
      <c r="K10" s="132">
        <f>F10-117120.15/75*60</f>
        <v>7946.040000000008</v>
      </c>
      <c r="L10" s="132">
        <f>F10/(117120.15/75*60)*100</f>
        <v>108.48064999916754</v>
      </c>
      <c r="M10" s="35">
        <f>E10-березень!E10</f>
        <v>25134</v>
      </c>
      <c r="N10" s="35">
        <f>F10-березень!F10</f>
        <v>23204.660000000003</v>
      </c>
      <c r="O10" s="47">
        <f t="shared" si="3"/>
        <v>-1929.3399999999965</v>
      </c>
      <c r="P10" s="50">
        <f aca="true" t="shared" si="5" ref="P10:P47">N10/M10*100</f>
        <v>92.32378451499962</v>
      </c>
      <c r="Q10" s="132">
        <f>N10-26568.11</f>
        <v>-3363.449999999997</v>
      </c>
      <c r="R10" s="133">
        <f>N10/26568.11</f>
        <v>0.8734027373418735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44">
        <v>89860.25</v>
      </c>
      <c r="G11" s="135">
        <f t="shared" si="0"/>
        <v>288.66999999999825</v>
      </c>
      <c r="H11" s="137">
        <f t="shared" si="4"/>
        <v>100.3222785620171</v>
      </c>
      <c r="I11" s="136">
        <f t="shared" si="1"/>
        <v>-150549.75</v>
      </c>
      <c r="J11" s="136">
        <f t="shared" si="2"/>
        <v>37.37791689197621</v>
      </c>
      <c r="K11" s="136">
        <f>F11-106961.61/75*60</f>
        <v>4290.9619999999995</v>
      </c>
      <c r="L11" s="136">
        <f>F11/(106961.61/75*60)*100</f>
        <v>105.01460524014176</v>
      </c>
      <c r="M11" s="137">
        <f>E11-березень!E11</f>
        <v>89571.58</v>
      </c>
      <c r="N11" s="137">
        <f>F11-березень!F11</f>
        <v>89860.25</v>
      </c>
      <c r="O11" s="138">
        <f t="shared" si="3"/>
        <v>288.66999999999825</v>
      </c>
      <c r="P11" s="136">
        <f t="shared" si="5"/>
        <v>100.3222785620171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44">
        <v>6073.08</v>
      </c>
      <c r="G12" s="135">
        <f t="shared" si="0"/>
        <v>-874.9200000000001</v>
      </c>
      <c r="H12" s="137">
        <f t="shared" si="4"/>
        <v>87.40759930915371</v>
      </c>
      <c r="I12" s="136">
        <f t="shared" si="1"/>
        <v>-17626.92</v>
      </c>
      <c r="J12" s="136">
        <f t="shared" si="2"/>
        <v>25.624810126582275</v>
      </c>
      <c r="K12" s="136">
        <f>F12-6905.65/75*60</f>
        <v>548.5599999999995</v>
      </c>
      <c r="L12" s="136">
        <f>F12/(6905.65/75*60)*100</f>
        <v>109.92955044058125</v>
      </c>
      <c r="M12" s="137">
        <f>E12-березень!E12</f>
        <v>6948</v>
      </c>
      <c r="N12" s="137">
        <f>F12-березень!F12</f>
        <v>6073.08</v>
      </c>
      <c r="O12" s="138">
        <f t="shared" si="3"/>
        <v>-874.9200000000001</v>
      </c>
      <c r="P12" s="136">
        <f t="shared" si="5"/>
        <v>87.40759930915371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44">
        <v>1539.57</v>
      </c>
      <c r="G13" s="135">
        <f t="shared" si="0"/>
        <v>-179.43000000000006</v>
      </c>
      <c r="H13" s="137">
        <f t="shared" si="4"/>
        <v>89.56195462478185</v>
      </c>
      <c r="I13" s="136">
        <f t="shared" si="1"/>
        <v>-4260.43</v>
      </c>
      <c r="J13" s="136">
        <f t="shared" si="2"/>
        <v>26.544310344827586</v>
      </c>
      <c r="K13" s="136">
        <f>F13-1478.58/75*60</f>
        <v>356.70600000000013</v>
      </c>
      <c r="L13" s="136">
        <f>F13/(1478.58/75*60)*100</f>
        <v>130.15612952968388</v>
      </c>
      <c r="M13" s="137">
        <f>E13-березень!E13</f>
        <v>1719</v>
      </c>
      <c r="N13" s="137">
        <f>F13-березень!F13</f>
        <v>1539.57</v>
      </c>
      <c r="O13" s="138">
        <f t="shared" si="3"/>
        <v>-179.43000000000006</v>
      </c>
      <c r="P13" s="136">
        <f t="shared" si="5"/>
        <v>89.56195462478185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44">
        <v>1437.72</v>
      </c>
      <c r="G14" s="135">
        <f t="shared" si="0"/>
        <v>-717.6800000000001</v>
      </c>
      <c r="H14" s="137">
        <f t="shared" si="4"/>
        <v>66.7031641458662</v>
      </c>
      <c r="I14" s="136">
        <f t="shared" si="1"/>
        <v>-6962.28</v>
      </c>
      <c r="J14" s="136">
        <f t="shared" si="2"/>
        <v>17.115714285714287</v>
      </c>
      <c r="K14" s="136">
        <f>F14-1774.3/75*60</f>
        <v>18.279999999999973</v>
      </c>
      <c r="L14" s="136">
        <f>F14/(1774.3/75*60)*100</f>
        <v>101.28783182099983</v>
      </c>
      <c r="M14" s="137">
        <f>E14-березень!E14</f>
        <v>2155.4</v>
      </c>
      <c r="N14" s="137">
        <f>F14-березень!F14</f>
        <v>1437.72</v>
      </c>
      <c r="O14" s="138">
        <f t="shared" si="3"/>
        <v>-717.6800000000001</v>
      </c>
      <c r="P14" s="136">
        <f t="shared" si="5"/>
        <v>66.7031641458662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44">
        <v>2731.55</v>
      </c>
      <c r="G15" s="135">
        <f t="shared" si="0"/>
        <v>1477.5500000000002</v>
      </c>
      <c r="H15" s="137">
        <f t="shared" si="4"/>
        <v>217.8269537480064</v>
      </c>
      <c r="I15" s="136">
        <f t="shared" si="1"/>
        <v>-1648.4499999999998</v>
      </c>
      <c r="J15" s="136">
        <f t="shared" si="2"/>
        <v>62.36415525114156</v>
      </c>
      <c r="K15" s="136">
        <f>F15-0</f>
        <v>2731.55</v>
      </c>
      <c r="L15" s="136"/>
      <c r="M15" s="137">
        <f>E15-березень!E15</f>
        <v>1254</v>
      </c>
      <c r="N15" s="137">
        <f>F15-березень!F15</f>
        <v>2731.55</v>
      </c>
      <c r="O15" s="138">
        <f t="shared" si="3"/>
        <v>1477.5500000000002</v>
      </c>
      <c r="P15" s="136">
        <f t="shared" si="5"/>
        <v>217.8269537480064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-913.25</v>
      </c>
      <c r="G19" s="43">
        <f t="shared" si="0"/>
        <v>-1084.45</v>
      </c>
      <c r="H19" s="35"/>
      <c r="I19" s="50">
        <f t="shared" si="1"/>
        <v>-1413.25</v>
      </c>
      <c r="J19" s="50">
        <f aca="true" t="shared" si="6" ref="J19:J31">F19/D19*100</f>
        <v>-182.65</v>
      </c>
      <c r="K19" s="50">
        <f>F19-552.92</f>
        <v>-1466.17</v>
      </c>
      <c r="L19" s="50">
        <f>F19/552.92*100</f>
        <v>-165.1685596469652</v>
      </c>
      <c r="M19" s="35">
        <f>E19-березень!E19</f>
        <v>0</v>
      </c>
      <c r="N19" s="35">
        <f>F19-березень!F19</f>
        <v>106.63</v>
      </c>
      <c r="O19" s="47">
        <f t="shared" si="3"/>
        <v>106.63</v>
      </c>
      <c r="P19" s="50"/>
      <c r="Q19" s="50">
        <f>N19-358.81</f>
        <v>-252.18</v>
      </c>
      <c r="R19" s="126">
        <f>N19/358.81</f>
        <v>0.29717677879657756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44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43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43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68">
        <v>10610.01</v>
      </c>
      <c r="G34" s="43">
        <f t="shared" si="0"/>
        <v>-2052.74</v>
      </c>
      <c r="H34" s="35">
        <f t="shared" si="4"/>
        <v>83.78914532783163</v>
      </c>
      <c r="I34" s="50">
        <f t="shared" si="1"/>
        <v>-19339.989999999998</v>
      </c>
      <c r="J34" s="178">
        <f>F34/D34*100</f>
        <v>35.4257429048414</v>
      </c>
      <c r="K34" s="179">
        <f>F34-0</f>
        <v>10610.01</v>
      </c>
      <c r="L34" s="180"/>
      <c r="M34" s="35">
        <f>E34-березень!E33</f>
        <v>2722.75</v>
      </c>
      <c r="N34" s="35">
        <f>F34-березень!F33</f>
        <v>539.5300000000007</v>
      </c>
      <c r="O34" s="47">
        <f t="shared" si="3"/>
        <v>-2183.2199999999993</v>
      </c>
      <c r="P34" s="50">
        <f t="shared" si="5"/>
        <v>19.815627582407515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69">
        <f>F36+F40+F42+F41</f>
        <v>59879.61000000001</v>
      </c>
      <c r="G35" s="43">
        <f t="shared" si="0"/>
        <v>-1025.8899999999921</v>
      </c>
      <c r="H35" s="35">
        <f t="shared" si="4"/>
        <v>98.31560368111255</v>
      </c>
      <c r="I35" s="50">
        <f t="shared" si="1"/>
        <v>-106890.38999999998</v>
      </c>
      <c r="J35" s="178">
        <f aca="true" t="shared" si="11" ref="J35:J47">F35/D35*100</f>
        <v>35.90550458715597</v>
      </c>
      <c r="K35" s="178">
        <f>K36+K40+K41+K42</f>
        <v>5105.010000000003</v>
      </c>
      <c r="L35" s="136"/>
      <c r="M35" s="35">
        <f>E35-березень!E34</f>
        <v>13870.5</v>
      </c>
      <c r="N35" s="35">
        <f>F35-березень!F34</f>
        <v>9900.630000000012</v>
      </c>
      <c r="O35" s="47">
        <f t="shared" si="3"/>
        <v>-3969.869999999988</v>
      </c>
      <c r="P35" s="50">
        <f t="shared" si="5"/>
        <v>71.37904185141136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69">
        <f>F37+F38+F39</f>
        <v>28803.43</v>
      </c>
      <c r="G36" s="43">
        <f t="shared" si="0"/>
        <v>-3049.5699999999997</v>
      </c>
      <c r="H36" s="35">
        <f t="shared" si="4"/>
        <v>90.42611370985465</v>
      </c>
      <c r="I36" s="50">
        <f t="shared" si="1"/>
        <v>-69396.57</v>
      </c>
      <c r="J36" s="178">
        <f t="shared" si="11"/>
        <v>29.331395112016295</v>
      </c>
      <c r="K36" s="178">
        <f>K37+K38+K39</f>
        <v>2758.1500000000015</v>
      </c>
      <c r="L36" s="136"/>
      <c r="M36" s="35">
        <f>E36-березень!E35</f>
        <v>8066</v>
      </c>
      <c r="N36" s="35">
        <f>F36-березень!F35</f>
        <v>4193.170000000002</v>
      </c>
      <c r="O36" s="47">
        <f t="shared" si="3"/>
        <v>-3872.829999999998</v>
      </c>
      <c r="P36" s="50">
        <f t="shared" si="5"/>
        <v>51.985742623357325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44">
        <v>1782.27</v>
      </c>
      <c r="G37" s="135">
        <f t="shared" si="0"/>
        <v>1511.27</v>
      </c>
      <c r="H37" s="137">
        <f t="shared" si="4"/>
        <v>657.6642066420665</v>
      </c>
      <c r="I37" s="136">
        <f t="shared" si="1"/>
        <v>782.27</v>
      </c>
      <c r="J37" s="136">
        <f t="shared" si="11"/>
        <v>178.227</v>
      </c>
      <c r="K37" s="136">
        <f>F37-127.86</f>
        <v>1654.41</v>
      </c>
      <c r="L37" s="136">
        <f>F37/127.86*100</f>
        <v>1393.9230408259034</v>
      </c>
      <c r="M37" s="35">
        <f>E37-березень!E36</f>
        <v>161</v>
      </c>
      <c r="N37" s="35">
        <f>F37-березень!F36</f>
        <v>1255.99</v>
      </c>
      <c r="O37" s="47">
        <f t="shared" si="3"/>
        <v>1094.99</v>
      </c>
      <c r="P37" s="50">
        <f t="shared" si="5"/>
        <v>780.1180124223603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44">
        <v>77.25</v>
      </c>
      <c r="G38" s="135">
        <f t="shared" si="0"/>
        <v>-172.75</v>
      </c>
      <c r="H38" s="137"/>
      <c r="I38" s="136">
        <f t="shared" si="1"/>
        <v>-1422.75</v>
      </c>
      <c r="J38" s="136">
        <f t="shared" si="11"/>
        <v>5.1499999999999995</v>
      </c>
      <c r="K38" s="136">
        <f>F38-0</f>
        <v>77.25</v>
      </c>
      <c r="L38" s="136"/>
      <c r="M38" s="35">
        <f>E38-березень!E37</f>
        <v>250</v>
      </c>
      <c r="N38" s="35">
        <f>F38-березень!F37</f>
        <v>39.55</v>
      </c>
      <c r="O38" s="47">
        <f t="shared" si="3"/>
        <v>-210.45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44">
        <v>26943.91</v>
      </c>
      <c r="G39" s="135">
        <f t="shared" si="0"/>
        <v>-4388.09</v>
      </c>
      <c r="H39" s="137">
        <f t="shared" si="4"/>
        <v>85.99486148346737</v>
      </c>
      <c r="I39" s="136">
        <f t="shared" si="1"/>
        <v>-68756.09</v>
      </c>
      <c r="J39" s="136">
        <f t="shared" si="11"/>
        <v>28.154555903866246</v>
      </c>
      <c r="K39" s="139">
        <f>F39-25917.42</f>
        <v>1026.4900000000016</v>
      </c>
      <c r="L39" s="139">
        <f>F39/25917.42*100</f>
        <v>103.96061799361203</v>
      </c>
      <c r="M39" s="35">
        <f>E39-березень!E38</f>
        <v>7655</v>
      </c>
      <c r="N39" s="35">
        <f>F39-березень!F38</f>
        <v>2897.630000000001</v>
      </c>
      <c r="O39" s="47">
        <f t="shared" si="3"/>
        <v>-4757.369999999999</v>
      </c>
      <c r="P39" s="50">
        <f t="shared" si="5"/>
        <v>37.852775963422616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68">
        <v>20.98</v>
      </c>
      <c r="G40" s="43">
        <f t="shared" si="0"/>
        <v>8.48</v>
      </c>
      <c r="H40" s="35">
        <f t="shared" si="4"/>
        <v>167.84</v>
      </c>
      <c r="I40" s="50">
        <f t="shared" si="1"/>
        <v>-49.019999999999996</v>
      </c>
      <c r="J40" s="178">
        <f t="shared" si="11"/>
        <v>29.97142857142857</v>
      </c>
      <c r="K40" s="178">
        <f>F40-22.12</f>
        <v>-1.1400000000000006</v>
      </c>
      <c r="L40" s="178">
        <f>F40/22.12*100</f>
        <v>94.84629294755877</v>
      </c>
      <c r="M40" s="35">
        <f>E40-березень!E39</f>
        <v>4.5</v>
      </c>
      <c r="N40" s="35">
        <f>F40-березень!F39</f>
        <v>3.3599999999999994</v>
      </c>
      <c r="O40" s="47">
        <f t="shared" si="3"/>
        <v>-1.1400000000000006</v>
      </c>
      <c r="P40" s="50">
        <f t="shared" si="5"/>
        <v>74.66666666666666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68">
        <v>-33.13</v>
      </c>
      <c r="G41" s="43">
        <f t="shared" si="0"/>
        <v>-33.13</v>
      </c>
      <c r="H41" s="35"/>
      <c r="I41" s="50">
        <f t="shared" si="1"/>
        <v>-33.13</v>
      </c>
      <c r="J41" s="136"/>
      <c r="K41" s="178">
        <f>F41-2145.36</f>
        <v>-2178.4900000000002</v>
      </c>
      <c r="L41" s="178">
        <f>F41/2145.36*100</f>
        <v>-1.5442629675206025</v>
      </c>
      <c r="M41" s="35">
        <f>E41-березень!E40</f>
        <v>0</v>
      </c>
      <c r="N41" s="35">
        <f>F41-березень!F40</f>
        <v>-46.02</v>
      </c>
      <c r="O41" s="47">
        <f t="shared" si="3"/>
        <v>-46.02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68">
        <v>31088.33</v>
      </c>
      <c r="G42" s="43">
        <f t="shared" si="0"/>
        <v>2048.3300000000017</v>
      </c>
      <c r="H42" s="35">
        <f t="shared" si="4"/>
        <v>107.05347796143252</v>
      </c>
      <c r="I42" s="50">
        <f t="shared" si="1"/>
        <v>-37411.67</v>
      </c>
      <c r="J42" s="178">
        <f t="shared" si="11"/>
        <v>45.38442335766424</v>
      </c>
      <c r="K42" s="132">
        <f>F42-26561.84</f>
        <v>4526.490000000002</v>
      </c>
      <c r="L42" s="132">
        <f>F42/26561.84*100</f>
        <v>117.04132695626508</v>
      </c>
      <c r="M42" s="35">
        <f>E42-березень!E41</f>
        <v>5800</v>
      </c>
      <c r="N42" s="35">
        <f>F42-березень!F41</f>
        <v>5750.120000000003</v>
      </c>
      <c r="O42" s="47">
        <f t="shared" si="3"/>
        <v>-49.87999999999738</v>
      </c>
      <c r="P42" s="50">
        <f t="shared" si="5"/>
        <v>99.14000000000004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44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44">
        <v>7819.07</v>
      </c>
      <c r="G44" s="135">
        <f t="shared" si="0"/>
        <v>1179.0699999999997</v>
      </c>
      <c r="H44" s="137"/>
      <c r="I44" s="136">
        <f t="shared" si="1"/>
        <v>-8680.93</v>
      </c>
      <c r="J44" s="136">
        <f t="shared" si="11"/>
        <v>47.38830303030303</v>
      </c>
      <c r="K44" s="139">
        <f>F44-6631.94</f>
        <v>1187.13</v>
      </c>
      <c r="L44" s="139">
        <f>F44/6631.94*100</f>
        <v>117.9001921006523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44">
        <v>23264.71</v>
      </c>
      <c r="G45" s="135">
        <f t="shared" si="0"/>
        <v>864.7099999999991</v>
      </c>
      <c r="H45" s="137"/>
      <c r="I45" s="136">
        <f t="shared" si="1"/>
        <v>-28735.29</v>
      </c>
      <c r="J45" s="136">
        <f t="shared" si="11"/>
        <v>44.73982692307692</v>
      </c>
      <c r="K45" s="139">
        <f>F45-19929.61</f>
        <v>3335.0999999999985</v>
      </c>
      <c r="L45" s="139">
        <f>F45/19929.61*100</f>
        <v>116.73439670921807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44">
        <v>5.77</v>
      </c>
      <c r="G46" s="135">
        <f t="shared" si="0"/>
        <v>5.77</v>
      </c>
      <c r="H46" s="137"/>
      <c r="I46" s="136">
        <f t="shared" si="1"/>
        <v>5.77</v>
      </c>
      <c r="J46" s="136" t="e">
        <f t="shared" si="11"/>
        <v>#DIV/0!</v>
      </c>
      <c r="K46" s="139">
        <f>F46-0</f>
        <v>5.77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68">
        <v>2006.62</v>
      </c>
      <c r="G47" s="43">
        <f t="shared" si="0"/>
        <v>12.11999999999989</v>
      </c>
      <c r="H47" s="35">
        <f t="shared" si="4"/>
        <v>100.60767109551266</v>
      </c>
      <c r="I47" s="50">
        <f t="shared" si="1"/>
        <v>-5493.38</v>
      </c>
      <c r="J47" s="136">
        <f t="shared" si="11"/>
        <v>26.75493333333333</v>
      </c>
      <c r="K47" s="178">
        <f>F47-2618.43</f>
        <v>-611.81</v>
      </c>
      <c r="L47" s="178">
        <f>F47/2618.43*100</f>
        <v>76.6344718018049</v>
      </c>
      <c r="M47" s="35">
        <f>E47-березень!E42</f>
        <v>9.099999999999909</v>
      </c>
      <c r="N47" s="35">
        <f>F47-березень!F42</f>
        <v>6.7199999999998</v>
      </c>
      <c r="O47" s="47">
        <f t="shared" si="3"/>
        <v>-2.380000000000109</v>
      </c>
      <c r="P47" s="50">
        <f t="shared" si="5"/>
        <v>73.84615384615239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43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52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43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43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43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">
        <f>F56+F57+F58+F59+F60+F68+F69+F70+F72+F76+F67+F66</f>
        <v>9989.49</v>
      </c>
      <c r="G53" s="44">
        <f aca="true" t="shared" si="12" ref="G53:G78">F53-E53</f>
        <v>5900.99</v>
      </c>
      <c r="H53" s="45">
        <f>F53/E53*100</f>
        <v>244.33141739024094</v>
      </c>
      <c r="I53" s="31">
        <f aca="true" t="shared" si="13" ref="I53:I78">F53-D53</f>
        <v>-2577.6100000000006</v>
      </c>
      <c r="J53" s="31">
        <f aca="true" t="shared" si="14" ref="J53:J63">F53/D53*100</f>
        <v>79.48922185707123</v>
      </c>
      <c r="K53" s="18">
        <f>K56+K57+K58+K59+K60+K68+K69+K70+K72+K76+K67</f>
        <v>5801.67</v>
      </c>
      <c r="L53" s="18"/>
      <c r="M53" s="18">
        <f>M56+M57+M58+M59+M60+M68+M69+M70+M72+M76+M67+M66</f>
        <v>1052.5</v>
      </c>
      <c r="N53" s="18">
        <f>N56+N57+N58+N59+N60+N68+N69+N70+N72+N76+N67+N66</f>
        <v>2340.2099999999996</v>
      </c>
      <c r="O53" s="49">
        <f aca="true" t="shared" si="15" ref="O53:O78">N53-M53</f>
        <v>1287.7099999999996</v>
      </c>
      <c r="P53" s="31">
        <f>N53/M53*100</f>
        <v>222.34774346793347</v>
      </c>
      <c r="Q53" s="31">
        <f>N53-1017.63</f>
        <v>1322.5799999999995</v>
      </c>
      <c r="R53" s="127">
        <f>N53/1017.63</f>
        <v>2.299666873028507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53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54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43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43">
        <v>6.5</v>
      </c>
      <c r="G58" s="43">
        <f t="shared" si="12"/>
        <v>6.5</v>
      </c>
      <c r="H58" s="35"/>
      <c r="I58" s="50">
        <f t="shared" si="13"/>
        <v>6.5</v>
      </c>
      <c r="J58" s="50"/>
      <c r="K58" s="50">
        <f>F58-212.16</f>
        <v>-205.66</v>
      </c>
      <c r="L58" s="50">
        <f>F58/212.16*100</f>
        <v>3.0637254901960786</v>
      </c>
      <c r="M58" s="35">
        <f>E58-березень!E61</f>
        <v>0</v>
      </c>
      <c r="N58" s="35">
        <f>F58-березень!F61</f>
        <v>2.46</v>
      </c>
      <c r="O58" s="47">
        <f t="shared" si="15"/>
        <v>2.46</v>
      </c>
      <c r="P58" s="50"/>
      <c r="Q58" s="50">
        <f>N58-4.23</f>
        <v>-1.7700000000000005</v>
      </c>
      <c r="R58" s="126">
        <f>N58/4.23</f>
        <v>0.5815602836879432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43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43">
        <v>40.18</v>
      </c>
      <c r="G60" s="43">
        <f t="shared" si="12"/>
        <v>3.1799999999999997</v>
      </c>
      <c r="H60" s="35">
        <f>F60/E60*100</f>
        <v>108.5945945945946</v>
      </c>
      <c r="I60" s="50">
        <f t="shared" si="13"/>
        <v>-99.82</v>
      </c>
      <c r="J60" s="50">
        <v>10</v>
      </c>
      <c r="K60" s="50">
        <f>F60-34.44</f>
        <v>5.740000000000002</v>
      </c>
      <c r="L60" s="50">
        <f>F60/34.44*100</f>
        <v>116.66666666666667</v>
      </c>
      <c r="M60" s="35">
        <f>E60-березень!E63</f>
        <v>12</v>
      </c>
      <c r="N60" s="35">
        <f>F60-березень!F63</f>
        <v>9.419999999999998</v>
      </c>
      <c r="O60" s="47">
        <f t="shared" si="15"/>
        <v>-2.580000000000002</v>
      </c>
      <c r="P60" s="50">
        <f>N60/M60*100</f>
        <v>78.49999999999999</v>
      </c>
      <c r="Q60" s="50">
        <f>N60-9.02</f>
        <v>0.3999999999999986</v>
      </c>
      <c r="R60" s="126">
        <f>N60/9.02</f>
        <v>1.0443458980044344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43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43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43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43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43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43">
        <v>3120.34</v>
      </c>
      <c r="G67" s="43"/>
      <c r="H67" s="35"/>
      <c r="I67" s="50">
        <f t="shared" si="13"/>
        <v>3120.34</v>
      </c>
      <c r="J67" s="50"/>
      <c r="K67" s="50">
        <f>F67-0</f>
        <v>3120.34</v>
      </c>
      <c r="L67" s="50"/>
      <c r="M67" s="35">
        <f>E67-березень!E70</f>
        <v>0</v>
      </c>
      <c r="N67" s="35">
        <f>F67-березень!F70</f>
        <v>591.7600000000002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43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43">
        <v>2662.66</v>
      </c>
      <c r="G69" s="43">
        <f t="shared" si="12"/>
        <v>2352.66</v>
      </c>
      <c r="H69" s="35">
        <f>F69/E69*100</f>
        <v>858.9225806451612</v>
      </c>
      <c r="I69" s="50">
        <f t="shared" si="13"/>
        <v>1562.6599999999999</v>
      </c>
      <c r="J69" s="50">
        <v>90</v>
      </c>
      <c r="K69" s="50">
        <f>F69-279.59</f>
        <v>2383.0699999999997</v>
      </c>
      <c r="L69" s="50">
        <f>F69/279.59*100</f>
        <v>952.344504452949</v>
      </c>
      <c r="M69" s="35">
        <f>E69-березень!E72</f>
        <v>80</v>
      </c>
      <c r="N69" s="35">
        <f>F69-березень!F72</f>
        <v>480.67999999999984</v>
      </c>
      <c r="O69" s="47">
        <f t="shared" si="15"/>
        <v>400.67999999999984</v>
      </c>
      <c r="P69" s="50">
        <f>N69/M69*100</f>
        <v>600.8499999999998</v>
      </c>
      <c r="Q69" s="50">
        <f>N69-79.51</f>
        <v>401.16999999999985</v>
      </c>
      <c r="R69" s="126">
        <f>N69/79.51</f>
        <v>6.045528864293797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43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43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43">
        <v>1400.59</v>
      </c>
      <c r="G72" s="43">
        <f t="shared" si="12"/>
        <v>130.58999999999992</v>
      </c>
      <c r="H72" s="35">
        <f>F72/E72*100</f>
        <v>110.28267716535431</v>
      </c>
      <c r="I72" s="50">
        <f t="shared" si="13"/>
        <v>-2799.41</v>
      </c>
      <c r="J72" s="50">
        <f>F72/D72*100</f>
        <v>33.34738095238095</v>
      </c>
      <c r="K72" s="50">
        <f>F72-1238.46</f>
        <v>162.12999999999988</v>
      </c>
      <c r="L72" s="50">
        <f>F72/1238.46*100</f>
        <v>113.09125849845776</v>
      </c>
      <c r="M72" s="35">
        <f>E72-березень!E75</f>
        <v>320</v>
      </c>
      <c r="N72" s="35">
        <f>F72-березень!F75</f>
        <v>440.1199999999999</v>
      </c>
      <c r="O72" s="47">
        <f t="shared" si="15"/>
        <v>120.11999999999989</v>
      </c>
      <c r="P72" s="50">
        <f t="shared" si="16"/>
        <v>137.53749999999997</v>
      </c>
      <c r="Q72" s="50">
        <f>N72-277.38</f>
        <v>162.7399999999999</v>
      </c>
      <c r="R72" s="126">
        <f>N72/277.38</f>
        <v>1.5867041603576317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44">
        <v>300</v>
      </c>
      <c r="G75" s="135">
        <f t="shared" si="12"/>
        <v>300</v>
      </c>
      <c r="H75" s="137"/>
      <c r="I75" s="136">
        <f t="shared" si="13"/>
        <v>300</v>
      </c>
      <c r="J75" s="136"/>
      <c r="K75" s="136">
        <f>F75-234.45</f>
        <v>65.55000000000001</v>
      </c>
      <c r="L75" s="138">
        <f>F75/234.45*100</f>
        <v>127.95905310300704</v>
      </c>
      <c r="M75" s="35">
        <f>E75-березень!E78</f>
        <v>0</v>
      </c>
      <c r="N75" s="35">
        <f>F75-березень!F78</f>
        <v>60.400000000000006</v>
      </c>
      <c r="O75" s="138">
        <f t="shared" si="15"/>
        <v>60.400000000000006</v>
      </c>
      <c r="P75" s="136"/>
      <c r="Q75" s="50">
        <f>N75-64.93</f>
        <v>-4.530000000000001</v>
      </c>
      <c r="R75" s="126">
        <f>N75/64.93</f>
        <v>0.9302325581395349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43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43">
        <v>6.33</v>
      </c>
      <c r="G77" s="43">
        <f t="shared" si="12"/>
        <v>-2.0700000000000003</v>
      </c>
      <c r="H77" s="35">
        <f>F77/E77*100</f>
        <v>75.35714285714286</v>
      </c>
      <c r="I77" s="50">
        <f t="shared" si="13"/>
        <v>-20.17</v>
      </c>
      <c r="J77" s="50">
        <f>F77/D77*100</f>
        <v>23.88679245283019</v>
      </c>
      <c r="K77" s="50">
        <f>F77-9.01</f>
        <v>-2.6799999999999997</v>
      </c>
      <c r="L77" s="50">
        <f>F77/9.01*100</f>
        <v>70.25527192008879</v>
      </c>
      <c r="M77" s="35">
        <f>E77-березень!E80</f>
        <v>2.2</v>
      </c>
      <c r="N77" s="35">
        <f>F77-березень!F80</f>
        <v>0.23000000000000043</v>
      </c>
      <c r="O77" s="47">
        <f t="shared" si="15"/>
        <v>-1.9699999999999998</v>
      </c>
      <c r="P77" s="50">
        <f t="shared" si="16"/>
        <v>10.454545454545473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43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">
        <f>F8+F53+F77+F78</f>
        <v>183236.87999999998</v>
      </c>
      <c r="G79" s="44">
        <f>F79-E79</f>
        <v>1745.0499999999884</v>
      </c>
      <c r="H79" s="45">
        <f>F79/E79*100</f>
        <v>100.96150333599039</v>
      </c>
      <c r="I79" s="31">
        <f>F79-D79</f>
        <v>-346785.72</v>
      </c>
      <c r="J79" s="31">
        <f>F79/D79*100</f>
        <v>34.57152204453168</v>
      </c>
      <c r="K79" s="31">
        <f>K8+K53+K77+K78</f>
        <v>27394.940000000006</v>
      </c>
      <c r="L79" s="31"/>
      <c r="M79" s="18">
        <f>M8+M53+M77+M78</f>
        <v>42791.049999999996</v>
      </c>
      <c r="N79" s="18">
        <f>N8+N53+N77+N78</f>
        <v>36098.70000000002</v>
      </c>
      <c r="O79" s="49">
        <f>N79-M79</f>
        <v>-6692.349999999977</v>
      </c>
      <c r="P79" s="31">
        <f>N79/M79*100</f>
        <v>84.36039779346387</v>
      </c>
      <c r="Q79" s="31">
        <f>N79-34768</f>
        <v>1330.700000000019</v>
      </c>
      <c r="R79" s="171">
        <f>N79/34768</f>
        <v>1.0382736999539812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12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12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4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46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46">
        <v>4.38</v>
      </c>
      <c r="G84" s="43"/>
      <c r="H84" s="35"/>
      <c r="I84" s="53"/>
      <c r="J84" s="53"/>
      <c r="K84" s="53"/>
      <c r="L84" s="53"/>
      <c r="M84" s="36"/>
      <c r="N84" s="36">
        <f>F84</f>
        <v>4.38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45">
        <f>SUM(F84:F85)</f>
        <v>-10.27</v>
      </c>
      <c r="G86" s="55">
        <f t="shared" si="17"/>
        <v>-10.27</v>
      </c>
      <c r="H86" s="65"/>
      <c r="I86" s="54">
        <f t="shared" si="18"/>
        <v>-10.27</v>
      </c>
      <c r="J86" s="54"/>
      <c r="K86" s="54">
        <f>F86-(-111.2)</f>
        <v>100.93</v>
      </c>
      <c r="L86" s="54">
        <f>F86/223.32*100</f>
        <v>-4.598782016836826</v>
      </c>
      <c r="M86" s="55">
        <f>M85</f>
        <v>0</v>
      </c>
      <c r="N86" s="33">
        <f>SUM(N84:N85)</f>
        <v>4.38</v>
      </c>
      <c r="O86" s="54">
        <f t="shared" si="19"/>
        <v>4.38</v>
      </c>
      <c r="P86" s="54"/>
      <c r="Q86" s="54">
        <f>N86-92.85</f>
        <v>-88.47</v>
      </c>
      <c r="R86" s="130">
        <f>N86/92.85</f>
        <v>0.04717285945072698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46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46">
        <v>1724.11</v>
      </c>
      <c r="G89" s="43">
        <f t="shared" si="17"/>
        <v>225.12999999999988</v>
      </c>
      <c r="H89" s="35">
        <f t="shared" si="20"/>
        <v>115.01887950472987</v>
      </c>
      <c r="I89" s="53">
        <f t="shared" si="18"/>
        <v>-9851.89</v>
      </c>
      <c r="J89" s="53">
        <f t="shared" si="21"/>
        <v>14.89383206634416</v>
      </c>
      <c r="K89" s="53">
        <f>F89-1487.49</f>
        <v>236.6199999999999</v>
      </c>
      <c r="L89" s="53">
        <f>F89/1487.49*100</f>
        <v>115.90733383081566</v>
      </c>
      <c r="M89" s="35">
        <f>E89-березень!E91</f>
        <v>960.85</v>
      </c>
      <c r="N89" s="35">
        <f>F89-березень!F91</f>
        <v>314.3299999999999</v>
      </c>
      <c r="O89" s="47">
        <f t="shared" si="19"/>
        <v>-646.5200000000001</v>
      </c>
      <c r="P89" s="53">
        <f>N89/M89*100</f>
        <v>32.713743040016645</v>
      </c>
      <c r="Q89" s="53">
        <f>N89-450.01</f>
        <v>-135.68000000000006</v>
      </c>
      <c r="R89" s="129">
        <f>N89/450.01</f>
        <v>0.6984955889869112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46">
        <v>11.28</v>
      </c>
      <c r="G90" s="43">
        <f t="shared" si="17"/>
        <v>-433.02000000000004</v>
      </c>
      <c r="H90" s="35">
        <f t="shared" si="20"/>
        <v>2.5388251181634027</v>
      </c>
      <c r="I90" s="53">
        <f t="shared" si="18"/>
        <v>-2988.72</v>
      </c>
      <c r="J90" s="53">
        <f t="shared" si="21"/>
        <v>0.376</v>
      </c>
      <c r="K90" s="53">
        <f>F90-577.27</f>
        <v>-565.99</v>
      </c>
      <c r="L90" s="53">
        <f>F90/577.27*100</f>
        <v>1.954024979645573</v>
      </c>
      <c r="M90" s="35">
        <f>E90-березень!E92</f>
        <v>148.10000000000002</v>
      </c>
      <c r="N90" s="35">
        <f>F90-березень!F92</f>
        <v>0.21999999999999886</v>
      </c>
      <c r="O90" s="47">
        <f t="shared" si="19"/>
        <v>-147.88000000000002</v>
      </c>
      <c r="P90" s="53">
        <f>N90/M90*100</f>
        <v>0.14854827819041108</v>
      </c>
      <c r="Q90" s="53">
        <f>N90-1.05</f>
        <v>-0.8300000000000012</v>
      </c>
      <c r="R90" s="129">
        <f>N90/1.05</f>
        <v>0.20952380952380842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45">
        <f>F88+F89+F90</f>
        <v>1827.11</v>
      </c>
      <c r="G91" s="55">
        <f t="shared" si="17"/>
        <v>-186.17000000000007</v>
      </c>
      <c r="H91" s="65">
        <f t="shared" si="20"/>
        <v>90.75290073909242</v>
      </c>
      <c r="I91" s="54">
        <f t="shared" si="18"/>
        <v>-15248.89</v>
      </c>
      <c r="J91" s="54">
        <f t="shared" si="21"/>
        <v>10.699871164207075</v>
      </c>
      <c r="K91" s="54">
        <f>F91-3499.76</f>
        <v>-1672.6500000000003</v>
      </c>
      <c r="L91" s="54">
        <f>F91/3499.96*100</f>
        <v>52.20373947130824</v>
      </c>
      <c r="M91" s="55">
        <f>M88+M89+M90</f>
        <v>1178.9499999999998</v>
      </c>
      <c r="N91" s="55">
        <f>N88+N89+N90</f>
        <v>372.79999999999995</v>
      </c>
      <c r="O91" s="54">
        <f t="shared" si="19"/>
        <v>-806.1499999999999</v>
      </c>
      <c r="P91" s="54">
        <f>N91/M91*100</f>
        <v>31.621357988040206</v>
      </c>
      <c r="Q91" s="54">
        <f>N91-7985.28</f>
        <v>-7612.48</v>
      </c>
      <c r="R91" s="173">
        <f>N91/7985.28</f>
        <v>0.04668590205979001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46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46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0.58</v>
      </c>
      <c r="G95" s="43">
        <f>F95-E95</f>
        <v>0.58</v>
      </c>
      <c r="H95" s="35"/>
      <c r="I95" s="53">
        <f>F95-D95</f>
        <v>0.58</v>
      </c>
      <c r="J95" s="53"/>
      <c r="K95" s="53">
        <f>F95-(-0.27)</f>
        <v>0.85</v>
      </c>
      <c r="L95" s="53">
        <f>F95/(-0.27)*100</f>
        <v>-214.81481481481478</v>
      </c>
      <c r="M95" s="35">
        <f>E95-березень!E97</f>
        <v>0</v>
      </c>
      <c r="N95" s="35">
        <f>F95-березень!F97</f>
        <v>0</v>
      </c>
      <c r="O95" s="47">
        <f>N95-M95</f>
        <v>0</v>
      </c>
      <c r="P95" s="53"/>
      <c r="Q95" s="53">
        <f>N95-(-0.21)</f>
        <v>0.21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45">
        <f>F92+F95+F94</f>
        <v>0.58</v>
      </c>
      <c r="G96" s="55">
        <f>F96-E96</f>
        <v>-18.42</v>
      </c>
      <c r="H96" s="65"/>
      <c r="I96" s="54">
        <f>F96-D96</f>
        <v>-53.42</v>
      </c>
      <c r="J96" s="54">
        <f>F96/D96*100</f>
        <v>1.074074074074074</v>
      </c>
      <c r="K96" s="54">
        <f>F96-27.14</f>
        <v>-26.560000000000002</v>
      </c>
      <c r="L96" s="54">
        <f>F96/27.14*100</f>
        <v>2.1370670596904935</v>
      </c>
      <c r="M96" s="55">
        <f>M92+M95+M94</f>
        <v>15</v>
      </c>
      <c r="N96" s="55">
        <f>N92+N95+N94</f>
        <v>0</v>
      </c>
      <c r="O96" s="54">
        <f>N96-M96</f>
        <v>-15</v>
      </c>
      <c r="P96" s="54"/>
      <c r="Q96" s="54">
        <f>N96-26.38</f>
        <v>-26.38</v>
      </c>
      <c r="R96" s="128">
        <f>N96/26.38</f>
        <v>0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46">
        <v>13.03</v>
      </c>
      <c r="G97" s="43">
        <f>F97-E97</f>
        <v>0.2400000000000002</v>
      </c>
      <c r="H97" s="35">
        <f>F97/E97*100</f>
        <v>101.87646598905395</v>
      </c>
      <c r="I97" s="53">
        <f>F97-D97</f>
        <v>-28.97</v>
      </c>
      <c r="J97" s="53">
        <f>F97/D97*100</f>
        <v>31.02380952380952</v>
      </c>
      <c r="K97" s="53">
        <f>F97-12.19</f>
        <v>0.8399999999999999</v>
      </c>
      <c r="L97" s="53">
        <f>F97/12.19*100</f>
        <v>106.89089417555373</v>
      </c>
      <c r="M97" s="35">
        <f>E97-березень!E99</f>
        <v>1.1999999999999993</v>
      </c>
      <c r="N97" s="35">
        <f>F97-березень!F99</f>
        <v>0.08000000000000007</v>
      </c>
      <c r="O97" s="47">
        <f>N97-M97</f>
        <v>-1.1199999999999992</v>
      </c>
      <c r="P97" s="53">
        <f>N97/M97*100</f>
        <v>6.666666666666677</v>
      </c>
      <c r="Q97" s="53">
        <f>N97-0.45</f>
        <v>-0.36999999999999994</v>
      </c>
      <c r="R97" s="129">
        <f>N97/0.45</f>
        <v>0.17777777777777792</v>
      </c>
    </row>
    <row r="98" spans="2:18" ht="15.75">
      <c r="B98" s="184" t="s">
        <v>258</v>
      </c>
      <c r="C98" s="59">
        <v>50110000</v>
      </c>
      <c r="D98" s="28"/>
      <c r="E98" s="28"/>
      <c r="F98" s="146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7">
        <f>F86+F97+F91+F96+F98</f>
        <v>1830.6499999999999</v>
      </c>
      <c r="G99" s="44">
        <f>F99-E99</f>
        <v>-214.42000000000007</v>
      </c>
      <c r="H99" s="45">
        <f>F99/E99*100</f>
        <v>89.51527331582781</v>
      </c>
      <c r="I99" s="31">
        <f>F99-D99</f>
        <v>-15341.35</v>
      </c>
      <c r="J99" s="31">
        <f>F99/D99*100</f>
        <v>10.660668530165385</v>
      </c>
      <c r="K99" s="31">
        <f>K86+K91+K96+K97</f>
        <v>-1597.4400000000003</v>
      </c>
      <c r="L99" s="31"/>
      <c r="M99" s="27">
        <f>M86+M97+M91+M96</f>
        <v>1195.1499999999999</v>
      </c>
      <c r="N99" s="27">
        <f>N86+N97+N91+N96+N98</f>
        <v>377.4599999999999</v>
      </c>
      <c r="O99" s="31">
        <f>N99-M99</f>
        <v>-817.6899999999999</v>
      </c>
      <c r="P99" s="31">
        <f>N99/M99*100</f>
        <v>31.5826465297243</v>
      </c>
      <c r="Q99" s="31">
        <f>N99-8104.96</f>
        <v>-7727.5</v>
      </c>
      <c r="R99" s="127">
        <f>N99/8104.96</f>
        <v>0.04657148215413771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7">
        <f>F79+F99</f>
        <v>185067.52999999997</v>
      </c>
      <c r="G100" s="44">
        <f>F100-E100</f>
        <v>1530.6299999999756</v>
      </c>
      <c r="H100" s="45">
        <f>F100/E100*100</f>
        <v>100.8339630886214</v>
      </c>
      <c r="I100" s="31">
        <f>F100-D100</f>
        <v>-362127.07</v>
      </c>
      <c r="J100" s="31">
        <f>F100/D100*100</f>
        <v>33.82115430232681</v>
      </c>
      <c r="K100" s="31">
        <f>K79+K99</f>
        <v>25797.500000000007</v>
      </c>
      <c r="L100" s="31"/>
      <c r="M100" s="18">
        <f>M79+M99</f>
        <v>43986.2</v>
      </c>
      <c r="N100" s="18">
        <f>N79+N99</f>
        <v>36476.16000000002</v>
      </c>
      <c r="O100" s="31">
        <f>N100-M100</f>
        <v>-7510.039999999979</v>
      </c>
      <c r="P100" s="31">
        <f>N100/M100*100</f>
        <v>82.92637236224093</v>
      </c>
      <c r="Q100" s="31">
        <f>N100-42872.96</f>
        <v>-6396.799999999981</v>
      </c>
      <c r="R100" s="127">
        <f>N100/42872.96</f>
        <v>0.8507963994088587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5</v>
      </c>
      <c r="D102" s="4" t="s">
        <v>118</v>
      </c>
    </row>
    <row r="103" spans="2:17" ht="31.5">
      <c r="B103" s="71" t="s">
        <v>154</v>
      </c>
      <c r="C103" s="34">
        <f>IF(O79&lt;0,ABS(O79/C102),0)</f>
        <v>1338.4699999999953</v>
      </c>
      <c r="D103" s="4" t="s">
        <v>104</v>
      </c>
      <c r="G103" s="203"/>
      <c r="H103" s="203"/>
      <c r="I103" s="203"/>
      <c r="J103" s="203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42117</v>
      </c>
      <c r="D104" s="34">
        <v>2653.6</v>
      </c>
      <c r="N104" s="198"/>
      <c r="O104" s="198"/>
    </row>
    <row r="105" spans="3:15" ht="15.75">
      <c r="C105" s="111">
        <v>42116</v>
      </c>
      <c r="D105" s="34">
        <v>3201.7</v>
      </c>
      <c r="F105" s="155" t="s">
        <v>166</v>
      </c>
      <c r="G105" s="189"/>
      <c r="H105" s="189"/>
      <c r="I105" s="177"/>
      <c r="J105" s="196"/>
      <c r="K105" s="196"/>
      <c r="L105" s="196"/>
      <c r="M105" s="196"/>
      <c r="N105" s="198"/>
      <c r="O105" s="198"/>
    </row>
    <row r="106" spans="3:15" ht="15.75" customHeight="1">
      <c r="C106" s="111">
        <v>42115</v>
      </c>
      <c r="D106" s="34">
        <v>2262.5</v>
      </c>
      <c r="G106" s="195" t="s">
        <v>151</v>
      </c>
      <c r="H106" s="195"/>
      <c r="I106" s="106">
        <v>8909.73221</v>
      </c>
      <c r="J106" s="197"/>
      <c r="K106" s="197"/>
      <c r="L106" s="197"/>
      <c r="M106" s="197"/>
      <c r="N106" s="198"/>
      <c r="O106" s="198"/>
    </row>
    <row r="107" spans="7:13" ht="15.75" customHeight="1">
      <c r="G107" s="199" t="s">
        <v>234</v>
      </c>
      <c r="H107" s="200"/>
      <c r="I107" s="103">
        <v>0</v>
      </c>
      <c r="J107" s="196"/>
      <c r="K107" s="196"/>
      <c r="L107" s="196"/>
      <c r="M107" s="196"/>
    </row>
    <row r="108" spans="2:13" ht="18.75" customHeight="1">
      <c r="B108" s="193" t="s">
        <v>160</v>
      </c>
      <c r="C108" s="194"/>
      <c r="D108" s="108">
        <v>146930.05365000002</v>
      </c>
      <c r="E108" s="73"/>
      <c r="F108" s="156" t="s">
        <v>147</v>
      </c>
      <c r="G108" s="195" t="s">
        <v>149</v>
      </c>
      <c r="H108" s="195"/>
      <c r="I108" s="107">
        <v>138020.32144</v>
      </c>
      <c r="J108" s="196"/>
      <c r="K108" s="196"/>
      <c r="L108" s="196"/>
      <c r="M108" s="196"/>
    </row>
    <row r="109" spans="7:12" ht="9.75" customHeight="1">
      <c r="G109" s="189"/>
      <c r="H109" s="189"/>
      <c r="I109" s="90"/>
      <c r="J109" s="91"/>
      <c r="K109" s="91"/>
      <c r="L109" s="91"/>
    </row>
    <row r="110" spans="2:12" ht="22.5" customHeight="1" hidden="1">
      <c r="B110" s="190" t="s">
        <v>167</v>
      </c>
      <c r="C110" s="191"/>
      <c r="D110" s="110">
        <v>0</v>
      </c>
      <c r="E110" s="70" t="s">
        <v>104</v>
      </c>
      <c r="G110" s="189"/>
      <c r="H110" s="189"/>
      <c r="I110" s="90"/>
      <c r="J110" s="91"/>
      <c r="K110" s="91"/>
      <c r="L110" s="91"/>
    </row>
    <row r="111" spans="4:15" ht="15.75">
      <c r="D111" s="105"/>
      <c r="N111" s="189"/>
      <c r="O111" s="189"/>
    </row>
    <row r="112" spans="4:15" ht="15.75">
      <c r="D112" s="104"/>
      <c r="I112" s="34"/>
      <c r="N112" s="192"/>
      <c r="O112" s="192"/>
    </row>
    <row r="113" spans="14:15" ht="15.75">
      <c r="N113" s="189"/>
      <c r="O113" s="189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9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235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/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231</v>
      </c>
      <c r="N3" s="224" t="s">
        <v>232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228</v>
      </c>
      <c r="F4" s="211" t="s">
        <v>116</v>
      </c>
      <c r="G4" s="213" t="s">
        <v>229</v>
      </c>
      <c r="H4" s="215" t="s">
        <v>230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236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233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03"/>
      <c r="H104" s="203"/>
      <c r="I104" s="203"/>
      <c r="J104" s="203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8"/>
      <c r="O105" s="198"/>
    </row>
    <row r="106" spans="3:15" ht="15.75">
      <c r="C106" s="111">
        <v>42093</v>
      </c>
      <c r="D106" s="34">
        <v>8025</v>
      </c>
      <c r="F106" s="155" t="s">
        <v>166</v>
      </c>
      <c r="G106" s="189"/>
      <c r="H106" s="189"/>
      <c r="I106" s="177"/>
      <c r="J106" s="196"/>
      <c r="K106" s="196"/>
      <c r="L106" s="196"/>
      <c r="M106" s="196"/>
      <c r="N106" s="198"/>
      <c r="O106" s="198"/>
    </row>
    <row r="107" spans="3:15" ht="15.75" customHeight="1">
      <c r="C107" s="111">
        <v>42090</v>
      </c>
      <c r="D107" s="34">
        <v>4282.6</v>
      </c>
      <c r="G107" s="195" t="s">
        <v>151</v>
      </c>
      <c r="H107" s="195"/>
      <c r="I107" s="106">
        <f>8909732.21/1000</f>
        <v>8909.73221</v>
      </c>
      <c r="J107" s="197"/>
      <c r="K107" s="197"/>
      <c r="L107" s="197"/>
      <c r="M107" s="197"/>
      <c r="N107" s="198"/>
      <c r="O107" s="198"/>
    </row>
    <row r="108" spans="7:13" ht="15.75" customHeight="1">
      <c r="G108" s="199" t="s">
        <v>234</v>
      </c>
      <c r="H108" s="200"/>
      <c r="I108" s="103">
        <v>0</v>
      </c>
      <c r="J108" s="196"/>
      <c r="K108" s="196"/>
      <c r="L108" s="196"/>
      <c r="M108" s="196"/>
    </row>
    <row r="109" spans="2:13" ht="18.75" customHeight="1">
      <c r="B109" s="193" t="s">
        <v>160</v>
      </c>
      <c r="C109" s="194"/>
      <c r="D109" s="108">
        <f>147433239.77/1000</f>
        <v>147433.23977000001</v>
      </c>
      <c r="E109" s="73"/>
      <c r="F109" s="156" t="s">
        <v>147</v>
      </c>
      <c r="G109" s="195" t="s">
        <v>149</v>
      </c>
      <c r="H109" s="195"/>
      <c r="I109" s="107">
        <f>138523507.56/1000</f>
        <v>138523.50756</v>
      </c>
      <c r="J109" s="196"/>
      <c r="K109" s="196"/>
      <c r="L109" s="196"/>
      <c r="M109" s="196"/>
    </row>
    <row r="110" spans="7:12" ht="9.75" customHeight="1">
      <c r="G110" s="189"/>
      <c r="H110" s="189"/>
      <c r="I110" s="90"/>
      <c r="J110" s="91"/>
      <c r="K110" s="91"/>
      <c r="L110" s="91"/>
    </row>
    <row r="111" spans="2:12" ht="22.5" customHeight="1" hidden="1">
      <c r="B111" s="190" t="s">
        <v>167</v>
      </c>
      <c r="C111" s="191"/>
      <c r="D111" s="110">
        <v>0</v>
      </c>
      <c r="E111" s="70" t="s">
        <v>104</v>
      </c>
      <c r="G111" s="189"/>
      <c r="H111" s="189"/>
      <c r="I111" s="90"/>
      <c r="J111" s="91"/>
      <c r="K111" s="91"/>
      <c r="L111" s="91"/>
    </row>
    <row r="112" spans="4:15" ht="15.75">
      <c r="D112" s="105"/>
      <c r="N112" s="189"/>
      <c r="O112" s="189"/>
    </row>
    <row r="113" spans="4:15" ht="15.75">
      <c r="D113" s="104"/>
      <c r="I113" s="34"/>
      <c r="N113" s="192"/>
      <c r="O113" s="192"/>
    </row>
    <row r="114" spans="14:15" ht="15.75">
      <c r="N114" s="189"/>
      <c r="O114" s="18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205</v>
      </c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221</v>
      </c>
      <c r="N3" s="224" t="s">
        <v>202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199</v>
      </c>
      <c r="F4" s="211" t="s">
        <v>116</v>
      </c>
      <c r="G4" s="213" t="s">
        <v>200</v>
      </c>
      <c r="H4" s="215" t="s">
        <v>201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226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224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3"/>
      <c r="H104" s="203"/>
      <c r="I104" s="203"/>
      <c r="J104" s="203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8"/>
      <c r="O105" s="198"/>
    </row>
    <row r="106" spans="3:15" ht="15.75">
      <c r="C106" s="111">
        <v>42061</v>
      </c>
      <c r="D106" s="34">
        <v>6003.3</v>
      </c>
      <c r="F106" s="155" t="s">
        <v>166</v>
      </c>
      <c r="G106" s="189"/>
      <c r="H106" s="189"/>
      <c r="I106" s="177"/>
      <c r="J106" s="196"/>
      <c r="K106" s="196"/>
      <c r="L106" s="196"/>
      <c r="M106" s="196"/>
      <c r="N106" s="198"/>
      <c r="O106" s="198"/>
    </row>
    <row r="107" spans="3:15" ht="15.75" customHeight="1">
      <c r="C107" s="111">
        <v>42060</v>
      </c>
      <c r="D107" s="34">
        <v>1551.3</v>
      </c>
      <c r="G107" s="195" t="s">
        <v>151</v>
      </c>
      <c r="H107" s="195"/>
      <c r="I107" s="106">
        <v>8909.73221</v>
      </c>
      <c r="J107" s="197"/>
      <c r="K107" s="197"/>
      <c r="L107" s="197"/>
      <c r="M107" s="197"/>
      <c r="N107" s="198"/>
      <c r="O107" s="198"/>
    </row>
    <row r="108" spans="7:13" ht="15.75" customHeight="1">
      <c r="G108" s="227" t="s">
        <v>155</v>
      </c>
      <c r="H108" s="227"/>
      <c r="I108" s="103">
        <v>0</v>
      </c>
      <c r="J108" s="196"/>
      <c r="K108" s="196"/>
      <c r="L108" s="196"/>
      <c r="M108" s="196"/>
    </row>
    <row r="109" spans="2:13" ht="18.75" customHeight="1">
      <c r="B109" s="193" t="s">
        <v>160</v>
      </c>
      <c r="C109" s="194"/>
      <c r="D109" s="108">
        <f>138305956.27/1000</f>
        <v>138305.95627000002</v>
      </c>
      <c r="E109" s="73"/>
      <c r="F109" s="156" t="s">
        <v>147</v>
      </c>
      <c r="G109" s="195" t="s">
        <v>149</v>
      </c>
      <c r="H109" s="195"/>
      <c r="I109" s="107">
        <v>129396.23</v>
      </c>
      <c r="J109" s="196"/>
      <c r="K109" s="196"/>
      <c r="L109" s="196"/>
      <c r="M109" s="196"/>
    </row>
    <row r="110" spans="7:12" ht="9.75" customHeight="1">
      <c r="G110" s="189"/>
      <c r="H110" s="189"/>
      <c r="I110" s="90"/>
      <c r="J110" s="91"/>
      <c r="K110" s="91"/>
      <c r="L110" s="91"/>
    </row>
    <row r="111" spans="2:12" ht="22.5" customHeight="1" hidden="1">
      <c r="B111" s="190" t="s">
        <v>167</v>
      </c>
      <c r="C111" s="191"/>
      <c r="D111" s="110">
        <v>0</v>
      </c>
      <c r="E111" s="70" t="s">
        <v>104</v>
      </c>
      <c r="G111" s="189"/>
      <c r="H111" s="189"/>
      <c r="I111" s="90"/>
      <c r="J111" s="91"/>
      <c r="K111" s="91"/>
      <c r="L111" s="91"/>
    </row>
    <row r="112" spans="4:15" ht="15.75">
      <c r="D112" s="105"/>
      <c r="N112" s="189"/>
      <c r="O112" s="189"/>
    </row>
    <row r="113" spans="4:15" ht="15.75">
      <c r="D113" s="104"/>
      <c r="I113" s="34"/>
      <c r="N113" s="192"/>
      <c r="O113" s="192"/>
    </row>
    <row r="114" spans="14:15" ht="15.75">
      <c r="N114" s="189"/>
      <c r="O114" s="18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193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205</v>
      </c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220</v>
      </c>
      <c r="N3" s="224" t="s">
        <v>175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219</v>
      </c>
      <c r="F4" s="211" t="s">
        <v>116</v>
      </c>
      <c r="G4" s="213" t="s">
        <v>173</v>
      </c>
      <c r="H4" s="228" t="s">
        <v>174</v>
      </c>
      <c r="I4" s="230" t="s">
        <v>217</v>
      </c>
      <c r="J4" s="233" t="s">
        <v>218</v>
      </c>
      <c r="K4" s="116" t="s">
        <v>172</v>
      </c>
      <c r="L4" s="121" t="s">
        <v>171</v>
      </c>
      <c r="M4" s="204"/>
      <c r="N4" s="206" t="s">
        <v>194</v>
      </c>
      <c r="O4" s="230" t="s">
        <v>136</v>
      </c>
      <c r="P4" s="224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29"/>
      <c r="I5" s="231"/>
      <c r="J5" s="234"/>
      <c r="K5" s="201" t="s">
        <v>188</v>
      </c>
      <c r="L5" s="202"/>
      <c r="M5" s="205"/>
      <c r="N5" s="207"/>
      <c r="O5" s="231"/>
      <c r="P5" s="224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3"/>
      <c r="H102" s="203"/>
      <c r="I102" s="203"/>
      <c r="J102" s="203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8"/>
      <c r="O103" s="198"/>
    </row>
    <row r="104" spans="3:15" ht="15.75">
      <c r="C104" s="111">
        <v>42033</v>
      </c>
      <c r="D104" s="34">
        <v>2896.5</v>
      </c>
      <c r="F104" s="155" t="s">
        <v>166</v>
      </c>
      <c r="G104" s="195" t="s">
        <v>151</v>
      </c>
      <c r="H104" s="195"/>
      <c r="I104" s="106">
        <f>'січень '!I139</f>
        <v>8909.733</v>
      </c>
      <c r="J104" s="232" t="s">
        <v>161</v>
      </c>
      <c r="K104" s="232"/>
      <c r="L104" s="232"/>
      <c r="M104" s="232"/>
      <c r="N104" s="198"/>
      <c r="O104" s="198"/>
    </row>
    <row r="105" spans="3:15" ht="15.75">
      <c r="C105" s="111">
        <v>42032</v>
      </c>
      <c r="D105" s="34">
        <v>2838.1</v>
      </c>
      <c r="G105" s="227" t="s">
        <v>155</v>
      </c>
      <c r="H105" s="227"/>
      <c r="I105" s="103">
        <f>'січень '!I140</f>
        <v>0</v>
      </c>
      <c r="J105" s="235" t="s">
        <v>162</v>
      </c>
      <c r="K105" s="235"/>
      <c r="L105" s="235"/>
      <c r="M105" s="235"/>
      <c r="N105" s="198"/>
      <c r="O105" s="198"/>
    </row>
    <row r="106" spans="7:13" ht="15.75" customHeight="1">
      <c r="G106" s="195" t="s">
        <v>148</v>
      </c>
      <c r="H106" s="195"/>
      <c r="I106" s="103">
        <f>'січень '!I141</f>
        <v>0</v>
      </c>
      <c r="J106" s="232" t="s">
        <v>163</v>
      </c>
      <c r="K106" s="232"/>
      <c r="L106" s="232"/>
      <c r="M106" s="232"/>
    </row>
    <row r="107" spans="2:13" ht="18.75" customHeight="1">
      <c r="B107" s="193" t="s">
        <v>160</v>
      </c>
      <c r="C107" s="194"/>
      <c r="D107" s="108">
        <f>'січень '!D142</f>
        <v>132375.63</v>
      </c>
      <c r="E107" s="73"/>
      <c r="F107" s="156" t="s">
        <v>147</v>
      </c>
      <c r="G107" s="195" t="s">
        <v>149</v>
      </c>
      <c r="H107" s="195"/>
      <c r="I107" s="107">
        <f>'січень '!I142</f>
        <v>123465.893</v>
      </c>
      <c r="J107" s="232" t="s">
        <v>164</v>
      </c>
      <c r="K107" s="232"/>
      <c r="L107" s="232"/>
      <c r="M107" s="232"/>
    </row>
    <row r="108" spans="7:12" ht="9.75" customHeight="1">
      <c r="G108" s="189"/>
      <c r="H108" s="189"/>
      <c r="I108" s="90"/>
      <c r="J108" s="91"/>
      <c r="K108" s="91"/>
      <c r="L108" s="91"/>
    </row>
    <row r="109" spans="2:12" ht="22.5" customHeight="1" hidden="1">
      <c r="B109" s="190" t="s">
        <v>167</v>
      </c>
      <c r="C109" s="191"/>
      <c r="D109" s="110">
        <v>0</v>
      </c>
      <c r="E109" s="70" t="s">
        <v>104</v>
      </c>
      <c r="G109" s="189"/>
      <c r="H109" s="189"/>
      <c r="I109" s="90"/>
      <c r="J109" s="91"/>
      <c r="K109" s="91"/>
      <c r="L109" s="91"/>
    </row>
    <row r="110" spans="4:15" ht="15.75">
      <c r="D110" s="105"/>
      <c r="N110" s="189"/>
      <c r="O110" s="189"/>
    </row>
    <row r="111" spans="4:15" ht="15.75">
      <c r="D111" s="104"/>
      <c r="I111" s="34"/>
      <c r="N111" s="192"/>
      <c r="O111" s="192"/>
    </row>
    <row r="112" spans="14:15" ht="15.75">
      <c r="N112" s="189"/>
      <c r="O112" s="18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7" t="s">
        <v>193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203</v>
      </c>
      <c r="C3" s="218" t="s">
        <v>0</v>
      </c>
      <c r="D3" s="219" t="s">
        <v>190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187</v>
      </c>
      <c r="N3" s="224" t="s">
        <v>175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153</v>
      </c>
      <c r="F4" s="211" t="s">
        <v>116</v>
      </c>
      <c r="G4" s="213" t="s">
        <v>173</v>
      </c>
      <c r="H4" s="228" t="s">
        <v>174</v>
      </c>
      <c r="I4" s="230" t="s">
        <v>186</v>
      </c>
      <c r="J4" s="233" t="s">
        <v>189</v>
      </c>
      <c r="K4" s="116" t="s">
        <v>172</v>
      </c>
      <c r="L4" s="121" t="s">
        <v>171</v>
      </c>
      <c r="M4" s="204"/>
      <c r="N4" s="206" t="s">
        <v>194</v>
      </c>
      <c r="O4" s="230" t="s">
        <v>136</v>
      </c>
      <c r="P4" s="224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29"/>
      <c r="I5" s="231"/>
      <c r="J5" s="234"/>
      <c r="K5" s="201" t="s">
        <v>188</v>
      </c>
      <c r="L5" s="202"/>
      <c r="M5" s="205"/>
      <c r="N5" s="207"/>
      <c r="O5" s="231"/>
      <c r="P5" s="224"/>
      <c r="Q5" s="201" t="s">
        <v>176</v>
      </c>
      <c r="R5" s="20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3"/>
      <c r="H137" s="203"/>
      <c r="I137" s="203"/>
      <c r="J137" s="203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8"/>
      <c r="O138" s="198"/>
    </row>
    <row r="139" spans="3:15" ht="15.75">
      <c r="C139" s="111">
        <v>42033</v>
      </c>
      <c r="D139" s="34">
        <v>2896.5</v>
      </c>
      <c r="F139" s="155" t="s">
        <v>166</v>
      </c>
      <c r="G139" s="195" t="s">
        <v>151</v>
      </c>
      <c r="H139" s="195"/>
      <c r="I139" s="106">
        <f>8909.733</f>
        <v>8909.733</v>
      </c>
      <c r="J139" s="232" t="s">
        <v>161</v>
      </c>
      <c r="K139" s="232"/>
      <c r="L139" s="232"/>
      <c r="M139" s="232"/>
      <c r="N139" s="198"/>
      <c r="O139" s="198"/>
    </row>
    <row r="140" spans="3:15" ht="15.75">
      <c r="C140" s="111">
        <v>42032</v>
      </c>
      <c r="D140" s="34">
        <v>2838.1</v>
      </c>
      <c r="G140" s="227" t="s">
        <v>155</v>
      </c>
      <c r="H140" s="227"/>
      <c r="I140" s="103">
        <v>0</v>
      </c>
      <c r="J140" s="235" t="s">
        <v>162</v>
      </c>
      <c r="K140" s="235"/>
      <c r="L140" s="235"/>
      <c r="M140" s="235"/>
      <c r="N140" s="198"/>
      <c r="O140" s="198"/>
    </row>
    <row r="141" spans="7:13" ht="15.75" customHeight="1">
      <c r="G141" s="195" t="s">
        <v>148</v>
      </c>
      <c r="H141" s="195"/>
      <c r="I141" s="103">
        <v>0</v>
      </c>
      <c r="J141" s="232" t="s">
        <v>163</v>
      </c>
      <c r="K141" s="232"/>
      <c r="L141" s="232"/>
      <c r="M141" s="232"/>
    </row>
    <row r="142" spans="2:13" ht="18.75" customHeight="1">
      <c r="B142" s="193" t="s">
        <v>160</v>
      </c>
      <c r="C142" s="194"/>
      <c r="D142" s="108">
        <f>132375.63</f>
        <v>132375.63</v>
      </c>
      <c r="E142" s="73"/>
      <c r="F142" s="156" t="s">
        <v>147</v>
      </c>
      <c r="G142" s="195" t="s">
        <v>149</v>
      </c>
      <c r="H142" s="195"/>
      <c r="I142" s="107">
        <f>123465.893</f>
        <v>123465.893</v>
      </c>
      <c r="J142" s="232" t="s">
        <v>164</v>
      </c>
      <c r="K142" s="232"/>
      <c r="L142" s="232"/>
      <c r="M142" s="232"/>
    </row>
    <row r="143" spans="7:12" ht="9.75" customHeight="1">
      <c r="G143" s="189"/>
      <c r="H143" s="189"/>
      <c r="I143" s="90"/>
      <c r="J143" s="91"/>
      <c r="K143" s="91"/>
      <c r="L143" s="91"/>
    </row>
    <row r="144" spans="2:12" ht="22.5" customHeight="1" hidden="1">
      <c r="B144" s="190" t="s">
        <v>167</v>
      </c>
      <c r="C144" s="191"/>
      <c r="D144" s="110">
        <v>0</v>
      </c>
      <c r="E144" s="70" t="s">
        <v>104</v>
      </c>
      <c r="G144" s="189"/>
      <c r="H144" s="189"/>
      <c r="I144" s="90"/>
      <c r="J144" s="91"/>
      <c r="K144" s="91"/>
      <c r="L144" s="91"/>
    </row>
    <row r="145" spans="4:15" ht="15.75">
      <c r="D145" s="105"/>
      <c r="N145" s="189"/>
      <c r="O145" s="189"/>
    </row>
    <row r="146" spans="4:15" ht="15.75">
      <c r="D146" s="104"/>
      <c r="I146" s="34"/>
      <c r="N146" s="192"/>
      <c r="O146" s="192"/>
    </row>
    <row r="147" spans="14:15" ht="15.75">
      <c r="N147" s="189"/>
      <c r="O147" s="18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2015-04-24T08:28:50Z</cp:lastPrinted>
  <dcterms:created xsi:type="dcterms:W3CDTF">2003-07-28T11:27:56Z</dcterms:created>
  <dcterms:modified xsi:type="dcterms:W3CDTF">2015-04-24T08:49:46Z</dcterms:modified>
  <cp:category/>
  <cp:version/>
  <cp:contentType/>
  <cp:contentStatus/>
</cp:coreProperties>
</file>